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820" windowHeight="6030" activeTab="0"/>
  </bookViews>
  <sheets>
    <sheet name="Tabelle1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<sst xmlns="http://schemas.openxmlformats.org/spreadsheetml/2006/main" count="79" uniqueCount="72">
  <si>
    <t>Produktionskosten Mastbulle:</t>
  </si>
  <si>
    <t>Kraftfutter</t>
  </si>
  <si>
    <t>Grundfutterkosten</t>
  </si>
  <si>
    <t xml:space="preserve">Mastendgewicht: </t>
  </si>
  <si>
    <t>kg</t>
  </si>
  <si>
    <t>g / Tag</t>
  </si>
  <si>
    <t>Tage</t>
  </si>
  <si>
    <t xml:space="preserve">Zunahmen: </t>
  </si>
  <si>
    <t>Mineralfutter</t>
  </si>
  <si>
    <t>Futterkosten gesamt:</t>
  </si>
  <si>
    <t>Tierarzt, Medikamente, TSK</t>
  </si>
  <si>
    <t>Energie, Wasser, Geräte</t>
  </si>
  <si>
    <t>Verluste, Versicherung</t>
  </si>
  <si>
    <t>Zinsansatz Vieh-/Umlaufvermögen</t>
  </si>
  <si>
    <t>Direktkosten (ohne Kalb)</t>
  </si>
  <si>
    <t>Akh / Bulle</t>
  </si>
  <si>
    <t xml:space="preserve">                x</t>
  </si>
  <si>
    <t>EUR / Akh</t>
  </si>
  <si>
    <t>Arbeitskosten</t>
  </si>
  <si>
    <t>Gebäudekosten</t>
  </si>
  <si>
    <t>EUR / Platz</t>
  </si>
  <si>
    <t>% Jahreskosten</t>
  </si>
  <si>
    <t>Ausschlachtung:</t>
  </si>
  <si>
    <t>%</t>
  </si>
  <si>
    <t xml:space="preserve">Nötiger </t>
  </si>
  <si>
    <t>Preis / kg SG</t>
  </si>
  <si>
    <t>zur Kosten-</t>
  </si>
  <si>
    <t>deckung</t>
  </si>
  <si>
    <t xml:space="preserve">  EUR / </t>
  </si>
  <si>
    <t>Masttag</t>
  </si>
  <si>
    <t>EUR /</t>
  </si>
  <si>
    <t>Bulle</t>
  </si>
  <si>
    <t>Zukaufsgewicht:</t>
  </si>
  <si>
    <t>Masttage</t>
  </si>
  <si>
    <t xml:space="preserve"> (Anhalts-</t>
  </si>
  <si>
    <t>Arbeitszeit:</t>
  </si>
  <si>
    <t xml:space="preserve">            +</t>
  </si>
  <si>
    <t>Kälberaufzucht / Vermarktung</t>
  </si>
  <si>
    <t>AKmin/Masttag/100  Plätze</t>
  </si>
  <si>
    <t xml:space="preserve">           =</t>
  </si>
  <si>
    <t xml:space="preserve"> = Schlachtgewicht</t>
  </si>
  <si>
    <t>Verfahren:</t>
  </si>
  <si>
    <t xml:space="preserve">Stall-Mast mit Maissilage </t>
  </si>
  <si>
    <t>Produktions-</t>
  </si>
  <si>
    <t>schwelle:</t>
  </si>
  <si>
    <t>Zukaufsalter:</t>
  </si>
  <si>
    <t>Monate</t>
  </si>
  <si>
    <t>Verkaufsalter</t>
  </si>
  <si>
    <t>werte je</t>
  </si>
  <si>
    <t>Masttag)</t>
  </si>
  <si>
    <t>Einkauf:</t>
  </si>
  <si>
    <t xml:space="preserve">%  MWSt. </t>
  </si>
  <si>
    <t>Verkauf:</t>
  </si>
  <si>
    <t xml:space="preserve"> = incl. MWSt.</t>
  </si>
  <si>
    <t>EUR/dt incl. MWSt.</t>
  </si>
  <si>
    <t>Aufzuchtkosten bis 125 kg  (überwiegend Futter)</t>
  </si>
  <si>
    <t xml:space="preserve">      kg/Tag</t>
  </si>
  <si>
    <t xml:space="preserve">      kg TM/Tag</t>
  </si>
  <si>
    <t>EUR/dt TM</t>
  </si>
  <si>
    <t>Maissilage</t>
  </si>
  <si>
    <t>Grassilage</t>
  </si>
  <si>
    <t>Durchschnittsgewicht (ab 125 kg)</t>
  </si>
  <si>
    <t>kg TM / Tag</t>
  </si>
  <si>
    <t xml:space="preserve">Vollkosten </t>
  </si>
  <si>
    <t xml:space="preserve"> - ohne Kalb / Fresser</t>
  </si>
  <si>
    <t xml:space="preserve"> - mit Kalb / Fresser</t>
  </si>
  <si>
    <t xml:space="preserve"> = EUR/m³</t>
  </si>
  <si>
    <t xml:space="preserve"> ohne MWSt.</t>
  </si>
  <si>
    <t xml:space="preserve">Kalb/Fresser </t>
  </si>
  <si>
    <t>Ermittlung der Produktionskosten / Nötiger Preis zur Kostendeckung</t>
  </si>
  <si>
    <t>incl. Kalb:</t>
  </si>
  <si>
    <t xml:space="preserve"> (ohne MWSt.)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</si>
</sst>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0000000"/>
    <numFmt numFmtId="179" formatCode="General_)"/>
    <numFmt numFmtId="180" formatCode="#,##0.0"/>
  </numFmts>
  <fonts count="9">
    <font>
      <sz val="12"/>
      <name val="Arial"/>
      <family val="0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1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175" fontId="0" fillId="2" borderId="0" xfId="0" applyNumberFormat="1" applyFont="1" applyFill="1" applyAlignment="1">
      <alignment/>
    </xf>
    <xf numFmtId="1" fontId="0" fillId="0" borderId="0" xfId="0" applyNumberFormat="1" applyFont="1" applyAlignment="1">
      <alignment/>
    </xf>
    <xf numFmtId="175" fontId="0" fillId="0" borderId="0" xfId="0" applyNumberFormat="1" applyFont="1" applyAlignment="1">
      <alignment/>
    </xf>
    <xf numFmtId="0" fontId="3" fillId="3" borderId="0" xfId="0" applyFont="1" applyFill="1" applyAlignment="1">
      <alignment/>
    </xf>
    <xf numFmtId="2" fontId="0" fillId="2" borderId="0" xfId="0" applyNumberFormat="1" applyFont="1" applyFill="1" applyAlignment="1">
      <alignment/>
    </xf>
    <xf numFmtId="2" fontId="0" fillId="0" borderId="0" xfId="0" applyNumberFormat="1" applyFont="1" applyAlignment="1">
      <alignment/>
    </xf>
    <xf numFmtId="0" fontId="3" fillId="0" borderId="0" xfId="0" applyFont="1" applyAlignment="1">
      <alignment/>
    </xf>
    <xf numFmtId="3" fontId="0" fillId="2" borderId="0" xfId="0" applyNumberFormat="1" applyFont="1" applyFill="1" applyAlignment="1">
      <alignment/>
    </xf>
    <xf numFmtId="0" fontId="4" fillId="4" borderId="0" xfId="0" applyFont="1" applyFill="1" applyBorder="1" applyAlignment="1">
      <alignment/>
    </xf>
    <xf numFmtId="0" fontId="0" fillId="4" borderId="0" xfId="0" applyFont="1" applyFill="1" applyAlignment="1">
      <alignment/>
    </xf>
    <xf numFmtId="0" fontId="4" fillId="0" borderId="0" xfId="0" applyFont="1" applyFill="1" applyBorder="1" applyAlignment="1" applyProtection="1">
      <alignment/>
      <protection/>
    </xf>
    <xf numFmtId="0" fontId="4" fillId="4" borderId="0" xfId="0" applyFont="1" applyFill="1" applyBorder="1" applyAlignment="1" applyProtection="1">
      <alignment/>
      <protection/>
    </xf>
    <xf numFmtId="0" fontId="3" fillId="2" borderId="0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3" fillId="4" borderId="0" xfId="0" applyFont="1" applyFill="1" applyBorder="1" applyAlignment="1">
      <alignment/>
    </xf>
    <xf numFmtId="0" fontId="0" fillId="4" borderId="0" xfId="0" applyFont="1" applyFill="1" applyBorder="1" applyAlignment="1">
      <alignment/>
    </xf>
    <xf numFmtId="0" fontId="7" fillId="3" borderId="0" xfId="0" applyFont="1" applyFill="1" applyAlignment="1">
      <alignment/>
    </xf>
    <xf numFmtId="0" fontId="7" fillId="5" borderId="0" xfId="0" applyFont="1" applyFill="1" applyAlignment="1">
      <alignment/>
    </xf>
    <xf numFmtId="0" fontId="8" fillId="5" borderId="0" xfId="0" applyFont="1" applyFill="1" applyAlignment="1">
      <alignment/>
    </xf>
    <xf numFmtId="0" fontId="7" fillId="6" borderId="0" xfId="0" applyFont="1" applyFill="1" applyAlignment="1">
      <alignment/>
    </xf>
    <xf numFmtId="0" fontId="8" fillId="6" borderId="0" xfId="0" applyFont="1" applyFill="1" applyAlignment="1">
      <alignment/>
    </xf>
    <xf numFmtId="0" fontId="3" fillId="7" borderId="0" xfId="0" applyFont="1" applyFill="1" applyAlignment="1">
      <alignment/>
    </xf>
    <xf numFmtId="0" fontId="3" fillId="8" borderId="0" xfId="0" applyFont="1" applyFill="1" applyAlignment="1">
      <alignment/>
    </xf>
    <xf numFmtId="0" fontId="7" fillId="9" borderId="0" xfId="0" applyFont="1" applyFill="1" applyAlignment="1">
      <alignment/>
    </xf>
    <xf numFmtId="0" fontId="8" fillId="9" borderId="0" xfId="0" applyFont="1" applyFill="1" applyAlignment="1">
      <alignment/>
    </xf>
    <xf numFmtId="0" fontId="8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3" xfId="0" applyFont="1" applyBorder="1" applyAlignment="1">
      <alignment/>
    </xf>
    <xf numFmtId="175" fontId="0" fillId="2" borderId="3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/>
    </xf>
    <xf numFmtId="0" fontId="0" fillId="0" borderId="2" xfId="0" applyFont="1" applyBorder="1" applyAlignment="1">
      <alignment horizontal="center"/>
    </xf>
    <xf numFmtId="3" fontId="0" fillId="0" borderId="1" xfId="0" applyNumberFormat="1" applyFont="1" applyBorder="1" applyAlignment="1">
      <alignment/>
    </xf>
    <xf numFmtId="0" fontId="0" fillId="2" borderId="1" xfId="0" applyFont="1" applyFill="1" applyBorder="1" applyAlignment="1">
      <alignment/>
    </xf>
    <xf numFmtId="2" fontId="0" fillId="0" borderId="2" xfId="0" applyNumberFormat="1" applyFont="1" applyBorder="1" applyAlignment="1">
      <alignment horizontal="center"/>
    </xf>
    <xf numFmtId="0" fontId="0" fillId="0" borderId="1" xfId="0" applyFont="1" applyBorder="1" applyAlignment="1">
      <alignment/>
    </xf>
    <xf numFmtId="1" fontId="0" fillId="0" borderId="1" xfId="0" applyNumberFormat="1" applyFont="1" applyBorder="1" applyAlignment="1">
      <alignment/>
    </xf>
    <xf numFmtId="0" fontId="5" fillId="0" borderId="3" xfId="0" applyFont="1" applyBorder="1" applyAlignment="1">
      <alignment horizontal="left"/>
    </xf>
    <xf numFmtId="1" fontId="3" fillId="0" borderId="1" xfId="0" applyNumberFormat="1" applyFont="1" applyBorder="1" applyAlignment="1">
      <alignment/>
    </xf>
    <xf numFmtId="2" fontId="3" fillId="0" borderId="2" xfId="0" applyNumberFormat="1" applyFont="1" applyBorder="1" applyAlignment="1">
      <alignment horizontal="center"/>
    </xf>
    <xf numFmtId="0" fontId="6" fillId="0" borderId="3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2" fontId="3" fillId="2" borderId="2" xfId="0" applyNumberFormat="1" applyFont="1" applyFill="1" applyBorder="1" applyAlignment="1">
      <alignment horizontal="center"/>
    </xf>
    <xf numFmtId="1" fontId="7" fillId="6" borderId="1" xfId="0" applyNumberFormat="1" applyFont="1" applyFill="1" applyBorder="1" applyAlignment="1">
      <alignment/>
    </xf>
    <xf numFmtId="2" fontId="7" fillId="6" borderId="3" xfId="0" applyNumberFormat="1" applyFont="1" applyFill="1" applyBorder="1" applyAlignment="1">
      <alignment/>
    </xf>
    <xf numFmtId="1" fontId="3" fillId="7" borderId="1" xfId="0" applyNumberFormat="1" applyFont="1" applyFill="1" applyBorder="1" applyAlignment="1">
      <alignment/>
    </xf>
    <xf numFmtId="2" fontId="3" fillId="7" borderId="3" xfId="0" applyNumberFormat="1" applyFont="1" applyFill="1" applyBorder="1" applyAlignment="1">
      <alignment/>
    </xf>
    <xf numFmtId="1" fontId="3" fillId="8" borderId="1" xfId="0" applyNumberFormat="1" applyFont="1" applyFill="1" applyBorder="1" applyAlignment="1">
      <alignment/>
    </xf>
    <xf numFmtId="3" fontId="7" fillId="9" borderId="1" xfId="0" applyNumberFormat="1" applyFont="1" applyFill="1" applyBorder="1" applyAlignment="1">
      <alignment/>
    </xf>
    <xf numFmtId="0" fontId="0" fillId="0" borderId="2" xfId="0" applyFont="1" applyBorder="1" applyAlignment="1">
      <alignment/>
    </xf>
    <xf numFmtId="4" fontId="7" fillId="9" borderId="3" xfId="0" applyNumberFormat="1" applyFont="1" applyFill="1" applyBorder="1" applyAlignment="1">
      <alignment/>
    </xf>
    <xf numFmtId="0" fontId="0" fillId="0" borderId="0" xfId="0" applyFont="1" applyAlignment="1">
      <alignment vertical="top"/>
    </xf>
    <xf numFmtId="1" fontId="0" fillId="0" borderId="0" xfId="0" applyNumberFormat="1" applyFont="1" applyAlignment="1">
      <alignment vertical="top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</xdr:colOff>
      <xdr:row>42</xdr:row>
      <xdr:rowOff>161925</xdr:rowOff>
    </xdr:from>
    <xdr:to>
      <xdr:col>7</xdr:col>
      <xdr:colOff>847725</xdr:colOff>
      <xdr:row>44</xdr:row>
      <xdr:rowOff>38100</xdr:rowOff>
    </xdr:to>
    <xdr:sp>
      <xdr:nvSpPr>
        <xdr:cNvPr id="1" name="Oval 1"/>
        <xdr:cNvSpPr>
          <a:spLocks/>
        </xdr:cNvSpPr>
      </xdr:nvSpPr>
      <xdr:spPr>
        <a:xfrm>
          <a:off x="6781800" y="8486775"/>
          <a:ext cx="819150" cy="266700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819150</xdr:colOff>
      <xdr:row>31</xdr:row>
      <xdr:rowOff>0</xdr:rowOff>
    </xdr:from>
    <xdr:to>
      <xdr:col>8</xdr:col>
      <xdr:colOff>923925</xdr:colOff>
      <xdr:row>32</xdr:row>
      <xdr:rowOff>142875</xdr:rowOff>
    </xdr:to>
    <xdr:sp>
      <xdr:nvSpPr>
        <xdr:cNvPr id="2" name="Line 3"/>
        <xdr:cNvSpPr>
          <a:spLocks/>
        </xdr:cNvSpPr>
      </xdr:nvSpPr>
      <xdr:spPr>
        <a:xfrm>
          <a:off x="8486775" y="6172200"/>
          <a:ext cx="104775" cy="3333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866775</xdr:colOff>
      <xdr:row>39</xdr:row>
      <xdr:rowOff>180975</xdr:rowOff>
    </xdr:from>
    <xdr:to>
      <xdr:col>8</xdr:col>
      <xdr:colOff>866775</xdr:colOff>
      <xdr:row>43</xdr:row>
      <xdr:rowOff>28575</xdr:rowOff>
    </xdr:to>
    <xdr:sp>
      <xdr:nvSpPr>
        <xdr:cNvPr id="3" name="Line 4"/>
        <xdr:cNvSpPr>
          <a:spLocks/>
        </xdr:cNvSpPr>
      </xdr:nvSpPr>
      <xdr:spPr>
        <a:xfrm>
          <a:off x="8534400" y="7915275"/>
          <a:ext cx="0" cy="6286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561975</xdr:colOff>
      <xdr:row>39</xdr:row>
      <xdr:rowOff>180975</xdr:rowOff>
    </xdr:from>
    <xdr:to>
      <xdr:col>8</xdr:col>
      <xdr:colOff>561975</xdr:colOff>
      <xdr:row>43</xdr:row>
      <xdr:rowOff>28575</xdr:rowOff>
    </xdr:to>
    <xdr:sp>
      <xdr:nvSpPr>
        <xdr:cNvPr id="4" name="Line 5"/>
        <xdr:cNvSpPr>
          <a:spLocks/>
        </xdr:cNvSpPr>
      </xdr:nvSpPr>
      <xdr:spPr>
        <a:xfrm flipV="1">
          <a:off x="8229600" y="7915275"/>
          <a:ext cx="0" cy="6286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45"/>
  <sheetViews>
    <sheetView showGridLines="0" tabSelected="1" workbookViewId="0" topLeftCell="A10">
      <selection activeCell="M22" sqref="M22"/>
    </sheetView>
  </sheetViews>
  <sheetFormatPr defaultColWidth="11.5546875" defaultRowHeight="15"/>
  <cols>
    <col min="1" max="1" width="5.10546875" style="5" customWidth="1"/>
    <col min="2" max="2" width="18.99609375" style="5" customWidth="1"/>
    <col min="3" max="3" width="15.4453125" style="5" customWidth="1"/>
    <col min="4" max="4" width="10.77734375" style="5" customWidth="1"/>
    <col min="5" max="5" width="11.3359375" style="5" customWidth="1"/>
    <col min="6" max="6" width="7.4453125" style="5" customWidth="1"/>
    <col min="7" max="7" width="9.6640625" style="5" customWidth="1"/>
    <col min="8" max="8" width="10.6640625" style="5" customWidth="1"/>
    <col min="9" max="9" width="13.10546875" style="5" customWidth="1"/>
    <col min="10" max="16384" width="11.5546875" style="5" customWidth="1"/>
  </cols>
  <sheetData>
    <row r="2" spans="2:9" ht="15.75">
      <c r="B2" s="19" t="s">
        <v>69</v>
      </c>
      <c r="C2" s="19"/>
      <c r="D2" s="20"/>
      <c r="E2" s="20"/>
      <c r="F2" s="20"/>
      <c r="G2" s="20"/>
      <c r="H2" s="17"/>
      <c r="I2" s="4"/>
    </row>
    <row r="3" spans="2:9" s="16" customFormat="1" ht="15.75">
      <c r="B3" s="21"/>
      <c r="C3" s="21"/>
      <c r="D3" s="22"/>
      <c r="E3" s="22"/>
      <c r="F3" s="22"/>
      <c r="G3" s="22"/>
      <c r="H3" s="18"/>
      <c r="I3" s="15"/>
    </row>
    <row r="4" ht="11.25" customHeight="1"/>
    <row r="5" spans="2:3" ht="15">
      <c r="B5" s="5" t="s">
        <v>41</v>
      </c>
      <c r="C5" s="5" t="s">
        <v>42</v>
      </c>
    </row>
    <row r="6" spans="2:8" ht="15">
      <c r="B6" s="5" t="s">
        <v>32</v>
      </c>
      <c r="G6" s="6">
        <v>260</v>
      </c>
      <c r="H6" s="5" t="s">
        <v>4</v>
      </c>
    </row>
    <row r="7" spans="2:8" ht="15">
      <c r="B7" s="5" t="s">
        <v>45</v>
      </c>
      <c r="G7" s="7">
        <v>8</v>
      </c>
      <c r="H7" s="5" t="s">
        <v>46</v>
      </c>
    </row>
    <row r="8" spans="2:8" ht="15">
      <c r="B8" s="5" t="s">
        <v>3</v>
      </c>
      <c r="G8" s="6">
        <v>660</v>
      </c>
      <c r="H8" s="5" t="s">
        <v>4</v>
      </c>
    </row>
    <row r="9" spans="2:8" ht="15">
      <c r="B9" s="5" t="s">
        <v>22</v>
      </c>
      <c r="G9" s="6">
        <v>59</v>
      </c>
      <c r="H9" s="5" t="s">
        <v>23</v>
      </c>
    </row>
    <row r="10" spans="2:8" ht="15">
      <c r="B10" s="5" t="s">
        <v>40</v>
      </c>
      <c r="G10" s="8">
        <f>+G8*G9/100</f>
        <v>389.4</v>
      </c>
      <c r="H10" s="5" t="s">
        <v>4</v>
      </c>
    </row>
    <row r="11" spans="2:8" ht="15">
      <c r="B11" s="5" t="s">
        <v>7</v>
      </c>
      <c r="G11" s="6">
        <v>1250</v>
      </c>
      <c r="H11" s="5" t="s">
        <v>5</v>
      </c>
    </row>
    <row r="12" spans="2:8" ht="15">
      <c r="B12" s="5" t="s">
        <v>47</v>
      </c>
      <c r="G12" s="9">
        <f>+G7+G13/30.5</f>
        <v>18.491803278688522</v>
      </c>
      <c r="H12" s="5" t="s">
        <v>46</v>
      </c>
    </row>
    <row r="13" spans="2:8" ht="15">
      <c r="B13" s="5" t="s">
        <v>33</v>
      </c>
      <c r="G13" s="8">
        <f>+(G8-G6)/G11*1000</f>
        <v>320</v>
      </c>
      <c r="H13" s="5" t="s">
        <v>6</v>
      </c>
    </row>
    <row r="14" spans="2:8" s="58" customFormat="1" ht="30" customHeight="1">
      <c r="B14" s="58" t="s">
        <v>61</v>
      </c>
      <c r="G14" s="59">
        <f>IF(G6&lt;125,(G8+125)/2,(G8+G6)/2)</f>
        <v>460</v>
      </c>
      <c r="H14" s="58" t="s">
        <v>4</v>
      </c>
    </row>
    <row r="15" spans="2:9" ht="15.75">
      <c r="B15" s="23" t="s">
        <v>0</v>
      </c>
      <c r="C15" s="23"/>
      <c r="D15" s="10"/>
      <c r="E15" s="10"/>
      <c r="F15" s="10"/>
      <c r="G15" s="33" t="s">
        <v>30</v>
      </c>
      <c r="H15" s="34" t="s">
        <v>28</v>
      </c>
      <c r="I15" s="35" t="s">
        <v>50</v>
      </c>
    </row>
    <row r="16" spans="7:9" ht="15.75">
      <c r="G16" s="33" t="s">
        <v>31</v>
      </c>
      <c r="H16" s="34" t="s">
        <v>29</v>
      </c>
      <c r="I16" s="36">
        <v>7</v>
      </c>
    </row>
    <row r="17" spans="2:9" ht="15.75">
      <c r="B17" s="24" t="s">
        <v>68</v>
      </c>
      <c r="C17" s="24"/>
      <c r="D17" s="25" t="s">
        <v>67</v>
      </c>
      <c r="E17" s="25"/>
      <c r="F17" s="25"/>
      <c r="G17" s="37">
        <v>680</v>
      </c>
      <c r="H17" s="38"/>
      <c r="I17" s="35" t="s">
        <v>51</v>
      </c>
    </row>
    <row r="18" spans="4:9" ht="15">
      <c r="D18" s="5" t="s">
        <v>53</v>
      </c>
      <c r="G18" s="39">
        <f>+G17*(100+I16)/100</f>
        <v>727.6</v>
      </c>
      <c r="H18" s="38"/>
      <c r="I18" s="35" t="s">
        <v>52</v>
      </c>
    </row>
    <row r="19" spans="2:9" ht="15">
      <c r="B19" s="5" t="s">
        <v>55</v>
      </c>
      <c r="G19" s="40">
        <v>0</v>
      </c>
      <c r="H19" s="41"/>
      <c r="I19" s="36">
        <v>10.7</v>
      </c>
    </row>
    <row r="20" spans="2:9" ht="15">
      <c r="B20" s="5" t="s">
        <v>2</v>
      </c>
      <c r="C20" s="3" t="s">
        <v>57</v>
      </c>
      <c r="D20" s="5" t="s">
        <v>58</v>
      </c>
      <c r="E20" s="1" t="s">
        <v>66</v>
      </c>
      <c r="F20" s="8"/>
      <c r="G20" s="42"/>
      <c r="H20" s="38"/>
      <c r="I20" s="35" t="s">
        <v>51</v>
      </c>
    </row>
    <row r="21" spans="2:9" ht="15">
      <c r="B21" s="5" t="s">
        <v>59</v>
      </c>
      <c r="C21" s="11">
        <v>4.5</v>
      </c>
      <c r="D21" s="11">
        <v>11</v>
      </c>
      <c r="E21" s="2">
        <f>+D21*2</f>
        <v>22</v>
      </c>
      <c r="F21" s="8"/>
      <c r="G21" s="43">
        <f>IF(G$6&lt;125,C21*D21*G$13/100*(G$8-125)/(G$8-G$6),C21*D21*G$13/100)</f>
        <v>158.4</v>
      </c>
      <c r="H21" s="38"/>
      <c r="I21" s="35"/>
    </row>
    <row r="22" spans="2:9" ht="15.75">
      <c r="B22" s="5" t="s">
        <v>60</v>
      </c>
      <c r="C22" s="11">
        <v>1.5</v>
      </c>
      <c r="D22" s="11">
        <v>13.2</v>
      </c>
      <c r="E22" s="2">
        <f>+D22*2</f>
        <v>26.4</v>
      </c>
      <c r="F22" s="8"/>
      <c r="G22" s="43">
        <f>IF(G$6&lt;125,C22*D22*G$13/100*(G$8-125)/(G$8-G$6),C22*D22*G$13/100)</f>
        <v>63.35999999999999</v>
      </c>
      <c r="H22" s="38"/>
      <c r="I22" s="44" t="s">
        <v>24</v>
      </c>
    </row>
    <row r="23" spans="3:9" ht="15.75">
      <c r="C23" s="2" t="s">
        <v>56</v>
      </c>
      <c r="D23" s="5" t="s">
        <v>54</v>
      </c>
      <c r="F23" s="8"/>
      <c r="G23" s="43"/>
      <c r="H23" s="38"/>
      <c r="I23" s="44" t="s">
        <v>25</v>
      </c>
    </row>
    <row r="24" spans="2:9" ht="15.75">
      <c r="B24" s="5" t="s">
        <v>1</v>
      </c>
      <c r="C24" s="11">
        <v>2.5</v>
      </c>
      <c r="D24" s="11">
        <v>17</v>
      </c>
      <c r="F24" s="8"/>
      <c r="G24" s="43">
        <f>IF(G$6&lt;125,C24*D24*G$13/100*(G$8-125)/(G$8-G$6),C24*D24*G$13/100)</f>
        <v>136</v>
      </c>
      <c r="H24" s="38"/>
      <c r="I24" s="44" t="s">
        <v>71</v>
      </c>
    </row>
    <row r="25" spans="2:9" ht="15.75">
      <c r="B25" s="5" t="s">
        <v>8</v>
      </c>
      <c r="C25" s="11">
        <v>0.1</v>
      </c>
      <c r="D25" s="11">
        <v>55</v>
      </c>
      <c r="F25" s="8"/>
      <c r="G25" s="43">
        <f>IF(G$6&lt;125,C25*D25*G$13/100*(G$8-125)/(G$8-G$6),C25*D25*G$13/100)</f>
        <v>17.6</v>
      </c>
      <c r="H25" s="38"/>
      <c r="I25" s="44" t="s">
        <v>26</v>
      </c>
    </row>
    <row r="26" spans="2:9" ht="15.75">
      <c r="B26" s="5" t="s">
        <v>62</v>
      </c>
      <c r="C26" s="12">
        <f>+C21+C22+C24*0.87+C25*0.95</f>
        <v>8.270000000000001</v>
      </c>
      <c r="E26" s="8"/>
      <c r="F26" s="8"/>
      <c r="G26" s="42"/>
      <c r="H26" s="38"/>
      <c r="I26" s="44" t="s">
        <v>27</v>
      </c>
    </row>
    <row r="27" spans="2:9" ht="15.75">
      <c r="B27" s="13" t="s">
        <v>9</v>
      </c>
      <c r="C27" s="13"/>
      <c r="G27" s="45">
        <f>+G19+G21+G22+G24+G25</f>
        <v>375.36</v>
      </c>
      <c r="H27" s="46">
        <f>+G27/G13</f>
        <v>1.173</v>
      </c>
      <c r="I27" s="47" t="s">
        <v>70</v>
      </c>
    </row>
    <row r="28" spans="2:9" ht="15">
      <c r="B28" s="5" t="s">
        <v>10</v>
      </c>
      <c r="D28" s="5" t="s">
        <v>34</v>
      </c>
      <c r="E28" s="3">
        <v>0.04</v>
      </c>
      <c r="F28" s="1">
        <f>+G$13*E28</f>
        <v>12.8</v>
      </c>
      <c r="G28" s="42"/>
      <c r="H28" s="38"/>
      <c r="I28" s="35"/>
    </row>
    <row r="29" spans="2:9" ht="15">
      <c r="B29" s="5" t="s">
        <v>11</v>
      </c>
      <c r="D29" s="5" t="s">
        <v>48</v>
      </c>
      <c r="E29" s="2">
        <v>0.1</v>
      </c>
      <c r="F29" s="1">
        <f>+G$13*E29</f>
        <v>32</v>
      </c>
      <c r="G29" s="42"/>
      <c r="H29" s="38"/>
      <c r="I29" s="35"/>
    </row>
    <row r="30" spans="2:9" ht="15.75">
      <c r="B30" s="5" t="s">
        <v>12</v>
      </c>
      <c r="D30" s="5" t="s">
        <v>49</v>
      </c>
      <c r="E30" s="3">
        <v>0.05</v>
      </c>
      <c r="F30" s="1">
        <f>+G$13*E30</f>
        <v>16</v>
      </c>
      <c r="G30" s="42"/>
      <c r="H30" s="38"/>
      <c r="I30" s="48" t="s">
        <v>43</v>
      </c>
    </row>
    <row r="31" spans="2:9" ht="15.75">
      <c r="B31" s="5" t="s">
        <v>13</v>
      </c>
      <c r="E31" s="3">
        <v>0.05</v>
      </c>
      <c r="F31" s="1">
        <f>+G$13*E31</f>
        <v>16</v>
      </c>
      <c r="G31" s="45">
        <f>+H31*G13</f>
        <v>48</v>
      </c>
      <c r="H31" s="49">
        <v>0.15</v>
      </c>
      <c r="I31" s="48" t="s">
        <v>44</v>
      </c>
    </row>
    <row r="32" spans="7:9" ht="15">
      <c r="G32" s="42"/>
      <c r="H32" s="38"/>
      <c r="I32" s="35"/>
    </row>
    <row r="33" spans="2:9" ht="15.75">
      <c r="B33" s="26" t="s">
        <v>14</v>
      </c>
      <c r="C33" s="26"/>
      <c r="D33" s="27"/>
      <c r="E33" s="27"/>
      <c r="F33" s="27"/>
      <c r="G33" s="50">
        <f>SUM(G27:G32)</f>
        <v>423.36</v>
      </c>
      <c r="H33" s="46">
        <f>H27+H31</f>
        <v>1.323</v>
      </c>
      <c r="I33" s="35"/>
    </row>
    <row r="34" spans="7:9" ht="15.75">
      <c r="G34" s="42"/>
      <c r="H34" s="46"/>
      <c r="I34" s="51">
        <f>+(G$33+G$18)/(G$8*G$9/100)/(100+I$19)*100</f>
        <v>2.67003320606738</v>
      </c>
    </row>
    <row r="35" spans="2:9" ht="15">
      <c r="B35" s="5" t="s">
        <v>35</v>
      </c>
      <c r="D35" s="6">
        <v>80</v>
      </c>
      <c r="E35" s="5" t="s">
        <v>38</v>
      </c>
      <c r="G35" s="42"/>
      <c r="H35" s="38"/>
      <c r="I35" s="35"/>
    </row>
    <row r="36" spans="3:9" ht="15">
      <c r="C36" s="5" t="s">
        <v>39</v>
      </c>
      <c r="D36" s="9">
        <f>IF(G6&lt;125,D35/100/60*(G8-125)/(G8-G6)*G13,D35/100/60*G13)</f>
        <v>4.266666666666667</v>
      </c>
      <c r="E36" s="5" t="s">
        <v>15</v>
      </c>
      <c r="G36" s="42"/>
      <c r="H36" s="38"/>
      <c r="I36" s="35"/>
    </row>
    <row r="37" spans="3:9" ht="15">
      <c r="C37" s="5" t="s">
        <v>36</v>
      </c>
      <c r="D37" s="7">
        <v>1</v>
      </c>
      <c r="E37" s="5" t="s">
        <v>37</v>
      </c>
      <c r="G37" s="42"/>
      <c r="H37" s="38"/>
      <c r="I37" s="35"/>
    </row>
    <row r="38" spans="2:9" ht="15.75">
      <c r="B38" s="28" t="s">
        <v>18</v>
      </c>
      <c r="C38" s="28"/>
      <c r="D38" s="9">
        <f>+D37+D36</f>
        <v>5.266666666666667</v>
      </c>
      <c r="E38" s="5" t="s">
        <v>15</v>
      </c>
      <c r="G38" s="42"/>
      <c r="H38" s="38"/>
      <c r="I38" s="35"/>
    </row>
    <row r="39" spans="2:9" ht="15.75">
      <c r="B39" s="5" t="s">
        <v>16</v>
      </c>
      <c r="D39" s="11">
        <v>15</v>
      </c>
      <c r="E39" s="5" t="s">
        <v>17</v>
      </c>
      <c r="G39" s="52">
        <f>+D39*D38</f>
        <v>79</v>
      </c>
      <c r="H39" s="46">
        <f>+G39/G$13</f>
        <v>0.246875</v>
      </c>
      <c r="I39" s="53">
        <f>+(G$33+G$18+G$39)/(G$8*G$9/100)/(100+I$19)*100</f>
        <v>2.8532998906431453</v>
      </c>
    </row>
    <row r="40" spans="7:9" ht="15">
      <c r="G40" s="42"/>
      <c r="H40" s="38"/>
      <c r="I40" s="35"/>
    </row>
    <row r="41" spans="2:9" ht="15.75">
      <c r="B41" s="29" t="s">
        <v>19</v>
      </c>
      <c r="C41" s="29"/>
      <c r="D41" s="14">
        <v>1000</v>
      </c>
      <c r="E41" s="5" t="s">
        <v>20</v>
      </c>
      <c r="G41" s="42"/>
      <c r="H41" s="38"/>
      <c r="I41" s="35"/>
    </row>
    <row r="42" spans="2:9" ht="15.75">
      <c r="B42" s="5" t="s">
        <v>16</v>
      </c>
      <c r="D42" s="6">
        <v>8</v>
      </c>
      <c r="E42" s="5" t="s">
        <v>21</v>
      </c>
      <c r="G42" s="54">
        <f>+D42*D41/100*G13/365</f>
        <v>70.13698630136986</v>
      </c>
      <c r="H42" s="46">
        <f>+G42/G$13</f>
        <v>0.2191780821917808</v>
      </c>
      <c r="I42" s="35"/>
    </row>
    <row r="43" spans="7:9" ht="15">
      <c r="G43" s="42"/>
      <c r="H43" s="38"/>
      <c r="I43" s="35"/>
    </row>
    <row r="44" spans="2:9" ht="15.75">
      <c r="B44" s="30" t="s">
        <v>63</v>
      </c>
      <c r="C44" s="30" t="s">
        <v>64</v>
      </c>
      <c r="D44" s="31"/>
      <c r="E44" s="32"/>
      <c r="F44" s="32"/>
      <c r="G44" s="55">
        <f>+G33+G39+G42</f>
        <v>572.4969863013698</v>
      </c>
      <c r="H44" s="46">
        <f>+G44/G$13</f>
        <v>1.7890530821917807</v>
      </c>
      <c r="I44" s="35"/>
    </row>
    <row r="45" spans="2:9" ht="15.75">
      <c r="B45" s="32"/>
      <c r="C45" s="30" t="s">
        <v>65</v>
      </c>
      <c r="D45" s="31"/>
      <c r="E45" s="32"/>
      <c r="F45" s="32"/>
      <c r="G45" s="55">
        <f>+G44+G18</f>
        <v>1300.0969863013697</v>
      </c>
      <c r="H45" s="56"/>
      <c r="I45" s="57">
        <f>+(G$33+G$18+G$39+G$42)/(G$8*G$9/100)/(100+I$19)*100</f>
        <v>3.0160058772961573</v>
      </c>
    </row>
  </sheetData>
  <printOptions/>
  <pageMargins left="0.85" right="0.1968503937007874" top="1.58" bottom="0.984251968503937" header="0.5118110236220472" footer="0.5118110236220472"/>
  <pageSetup fitToHeight="1" fitToWidth="1" horizontalDpi="600" verticalDpi="600" orientation="portrait" paperSize="9" scale="75" r:id="rId3"/>
  <headerFooter alignWithMargins="0">
    <oddHeader>&amp;R&amp;G</oddHeader>
    <oddFooter>&amp;L© DLR Westerwald-Osteifel
    Bahnhofstr. 32, 56410 Montabaur&amp;RAnsprechpartner: Detlef Groß, Tel. 02602 9228-14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Agrarverwaltung RLP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DLR Westerwald-Osteifel</dc:creator>
  <cp:keywords/>
  <dc:description/>
  <cp:lastModifiedBy>Holthaus</cp:lastModifiedBy>
  <cp:lastPrinted>2010-06-25T08:46:34Z</cp:lastPrinted>
  <dcterms:created xsi:type="dcterms:W3CDTF">2005-03-04T15:10:57Z</dcterms:created>
  <dcterms:modified xsi:type="dcterms:W3CDTF">2010-06-25T08:46:44Z</dcterms:modified>
  <cp:category/>
  <cp:version/>
  <cp:contentType/>
  <cp:contentStatus/>
</cp:coreProperties>
</file>